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lanrayson/Downloads/"/>
    </mc:Choice>
  </mc:AlternateContent>
  <xr:revisionPtr revIDLastSave="0" documentId="13_ncr:1_{CFE8A5B2-23F9-E346-9DA2-81BE50095784}" xr6:coauthVersionLast="47" xr6:coauthVersionMax="47" xr10:uidLastSave="{00000000-0000-0000-0000-000000000000}"/>
  <bookViews>
    <workbookView xWindow="-43400" yWindow="-6860" windowWidth="40940" windowHeight="23060" xr2:uid="{655F2CE7-8B00-7249-AB41-0D1B2C5484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1" i="1" l="1"/>
  <c r="C84" i="1" s="1"/>
  <c r="C2" i="1"/>
  <c r="C3" i="1" s="1"/>
  <c r="C4" i="1" s="1"/>
  <c r="C5" i="1" s="1"/>
  <c r="C6" i="1" s="1"/>
  <c r="J38" i="1"/>
  <c r="J50" i="1" s="1"/>
  <c r="J37" i="1"/>
  <c r="J49" i="1" s="1"/>
  <c r="J51" i="1"/>
  <c r="K45" i="1"/>
  <c r="K46" i="1"/>
  <c r="K51" i="1" s="1"/>
  <c r="K44" i="1"/>
  <c r="K34" i="1"/>
  <c r="L34" i="1" s="1"/>
  <c r="L38" i="1" s="1"/>
  <c r="L40" i="1" s="1"/>
  <c r="C62" i="1" l="1"/>
  <c r="C63" i="1"/>
  <c r="C68" i="1" s="1"/>
  <c r="C76" i="1"/>
  <c r="C78" i="1"/>
  <c r="C80" i="1"/>
  <c r="C82" i="1"/>
  <c r="C29" i="1"/>
  <c r="C27" i="1"/>
  <c r="C25" i="1"/>
  <c r="C23" i="1"/>
  <c r="C8" i="1"/>
  <c r="C21" i="1"/>
  <c r="C7" i="1"/>
  <c r="J40" i="1"/>
  <c r="K37" i="1"/>
  <c r="K49" i="1" s="1"/>
  <c r="L37" i="1"/>
  <c r="K38" i="1"/>
  <c r="K40" i="1" s="1"/>
  <c r="L44" i="1"/>
  <c r="L46" i="1"/>
  <c r="L51" i="1" s="1"/>
  <c r="M51" i="1" s="1"/>
  <c r="L45" i="1"/>
  <c r="H20" i="1" l="1"/>
  <c r="E20" i="1"/>
  <c r="E22" i="1"/>
  <c r="H22" i="1"/>
  <c r="E24" i="1"/>
  <c r="H24" i="1"/>
  <c r="H26" i="1"/>
  <c r="E26" i="1"/>
  <c r="H28" i="1"/>
  <c r="E28" i="1"/>
  <c r="C86" i="1"/>
  <c r="C91" i="1"/>
  <c r="C67" i="1"/>
  <c r="C100" i="1"/>
  <c r="C94" i="1"/>
  <c r="C103" i="1"/>
  <c r="C97" i="1"/>
  <c r="C72" i="1"/>
  <c r="C95" i="1"/>
  <c r="C92" i="1"/>
  <c r="C104" i="1"/>
  <c r="C101" i="1"/>
  <c r="C98" i="1"/>
  <c r="C31" i="1"/>
  <c r="C36" i="1"/>
  <c r="C48" i="1"/>
  <c r="C45" i="1"/>
  <c r="C12" i="1"/>
  <c r="C42" i="1"/>
  <c r="C39" i="1"/>
  <c r="C49" i="1"/>
  <c r="C46" i="1"/>
  <c r="C43" i="1"/>
  <c r="C13" i="1"/>
  <c r="C17" i="1" s="1"/>
  <c r="C40" i="1"/>
  <c r="C37" i="1"/>
  <c r="K50" i="1"/>
  <c r="L50" i="1"/>
  <c r="M50" i="1" s="1"/>
  <c r="L49" i="1"/>
  <c r="M49" i="1" s="1"/>
  <c r="I28" i="1" l="1"/>
  <c r="J28" i="1" s="1"/>
  <c r="G28" i="1"/>
  <c r="F28" i="1"/>
  <c r="G26" i="1"/>
  <c r="F26" i="1"/>
  <c r="I26" i="1"/>
  <c r="J26" i="1" s="1"/>
  <c r="G24" i="1"/>
  <c r="F24" i="1"/>
  <c r="K24" i="1" s="1"/>
  <c r="N24" i="1" s="1"/>
  <c r="I24" i="1"/>
  <c r="J24" i="1" s="1"/>
  <c r="G22" i="1"/>
  <c r="F22" i="1"/>
  <c r="K22" i="1" s="1"/>
  <c r="N22" i="1" s="1"/>
  <c r="I22" i="1"/>
  <c r="J22" i="1" s="1"/>
  <c r="F20" i="1"/>
  <c r="K20" i="1" s="1"/>
  <c r="N20" i="1" s="1"/>
  <c r="G20" i="1"/>
  <c r="I20" i="1"/>
  <c r="J20" i="1" s="1"/>
  <c r="C96" i="1"/>
  <c r="C93" i="1"/>
  <c r="C108" i="1"/>
  <c r="C102" i="1"/>
  <c r="C71" i="1"/>
  <c r="C73" i="1" s="1"/>
  <c r="C75" i="1" s="1"/>
  <c r="C69" i="1"/>
  <c r="C99" i="1"/>
  <c r="C107" i="1"/>
  <c r="C90" i="1"/>
  <c r="C106" i="1" s="1"/>
  <c r="C53" i="1"/>
  <c r="C38" i="1"/>
  <c r="C41" i="1"/>
  <c r="C14" i="1"/>
  <c r="C16" i="1"/>
  <c r="C18" i="1" s="1"/>
  <c r="C44" i="1"/>
  <c r="C47" i="1"/>
  <c r="C35" i="1"/>
  <c r="C52" i="1"/>
  <c r="K26" i="1" l="1"/>
  <c r="N26" i="1" s="1"/>
  <c r="K28" i="1"/>
  <c r="N28" i="1" s="1"/>
  <c r="C79" i="1"/>
  <c r="C77" i="1"/>
  <c r="C83" i="1"/>
  <c r="C81" i="1"/>
  <c r="C51" i="1"/>
  <c r="C28" i="1"/>
  <c r="C24" i="1"/>
  <c r="C22" i="1"/>
  <c r="C20" i="1"/>
  <c r="C26" i="1"/>
  <c r="C85" i="1" l="1"/>
  <c r="C30" i="1"/>
</calcChain>
</file>

<file path=xl/sharedStrings.xml><?xml version="1.0" encoding="utf-8"?>
<sst xmlns="http://schemas.openxmlformats.org/spreadsheetml/2006/main" count="206" uniqueCount="82">
  <si>
    <t>Number of associations divided by 100</t>
  </si>
  <si>
    <t>5% of total to Encore</t>
  </si>
  <si>
    <t>Vantaca Example (~300 Management Co's Total)</t>
  </si>
  <si>
    <t>30,000 Associations divided by 100</t>
  </si>
  <si>
    <t>$20MM deposits per 100 Associations</t>
  </si>
  <si>
    <t>5% of $6b to Encore</t>
  </si>
  <si>
    <t>Assumptions</t>
  </si>
  <si>
    <t>Explanation</t>
  </si>
  <si>
    <t>Total (6-Months)</t>
  </si>
  <si>
    <t>Total Resources</t>
  </si>
  <si>
    <t>Total (Annual)</t>
  </si>
  <si>
    <t>Resource Requirements</t>
  </si>
  <si>
    <t>Capacity Remaining</t>
  </si>
  <si>
    <t>Total Capacity</t>
  </si>
  <si>
    <t>Total Hours per Week per Resource</t>
  </si>
  <si>
    <t>300 Mgt. Co's x 100 Associations</t>
  </si>
  <si>
    <t>Each management company has ~100 associations</t>
  </si>
  <si>
    <t>PM Manager</t>
  </si>
  <si>
    <t>PM</t>
  </si>
  <si>
    <t>Total Hours per Week Required per Resource (PM)</t>
  </si>
  <si>
    <t>Assumed Resource Requirement (PM)</t>
  </si>
  <si>
    <t>Weekly (hrs.)</t>
  </si>
  <si>
    <t>Monthly (hrs.)</t>
  </si>
  <si>
    <t>Total Hours per Week Required per Resource (M/Comm's, Compliance, L&amp;D)</t>
  </si>
  <si>
    <t xml:space="preserve"> Assumed Resource Requirement (M/Comm's, Compliance, L&amp;D)</t>
  </si>
  <si>
    <t>Assumed Resource Requirement (PM Manager)</t>
  </si>
  <si>
    <t>Total Hours per Week Required per Resource (PM Manager)</t>
  </si>
  <si>
    <t>Project Assumptions (DoD)</t>
  </si>
  <si>
    <t>NIB (50%)</t>
  </si>
  <si>
    <t>IB (50%)</t>
  </si>
  <si>
    <t>(IB) $145.5MM x NIM of 100bps</t>
  </si>
  <si>
    <t>(NIB) $145.5MM x NIM of 600bps</t>
  </si>
  <si>
    <t>100bps of net spread to Encore</t>
  </si>
  <si>
    <t>600bps of net spread to Encore</t>
  </si>
  <si>
    <t>Total P&amp;L Impact</t>
  </si>
  <si>
    <t>IB P&amp;L Impact Discount (20% for Churn)</t>
  </si>
  <si>
    <t>NIB IB P&amp;L Impact Discount (20% for Churn)</t>
  </si>
  <si>
    <t>20% Discount</t>
  </si>
  <si>
    <t>Total Discounted P&amp;L Impact</t>
  </si>
  <si>
    <t>Revenue</t>
  </si>
  <si>
    <t>Year One Expectation (10%)</t>
  </si>
  <si>
    <t>Year Two Expectation (10%)</t>
  </si>
  <si>
    <t>Year Three Expectation (20%)</t>
  </si>
  <si>
    <t>Year Four Expectation (20%)</t>
  </si>
  <si>
    <t>Totals (Revenue)</t>
  </si>
  <si>
    <t>Totals (Deposits)</t>
  </si>
  <si>
    <t>Year Five Expectation (40%)</t>
  </si>
  <si>
    <t>Deposits (IB and NIB)</t>
  </si>
  <si>
    <t>(Encore Footprint Only)</t>
  </si>
  <si>
    <t>Net of Reserve Requirements (3%)</t>
  </si>
  <si>
    <t>(National Scope)</t>
  </si>
  <si>
    <t>Deposits (IB)</t>
  </si>
  <si>
    <t>Deposits (NIB)</t>
  </si>
  <si>
    <t>Totals (IB Deposits)</t>
  </si>
  <si>
    <t>Totals (NIB Deposits)</t>
  </si>
  <si>
    <t>Net Spread Assumption</t>
  </si>
  <si>
    <t>EFFR "Higher for Longer" Assumption</t>
  </si>
  <si>
    <t>EFFR Flat Through 2-Years, Decreasing to EFFR 200bps</t>
  </si>
  <si>
    <t>550bps EFFR + 50bps</t>
  </si>
  <si>
    <t>450bps EFFR + 50bps</t>
  </si>
  <si>
    <t>300bps EFFR + 50bps</t>
  </si>
  <si>
    <t>200bps EFFR + 50bps</t>
  </si>
  <si>
    <t>Title Companies</t>
  </si>
  <si>
    <t>IB (5%)</t>
  </si>
  <si>
    <t>NIB (95%)</t>
  </si>
  <si>
    <t>Per Title Company</t>
  </si>
  <si>
    <t>(IB) $727.5M x NIM of 100bps</t>
  </si>
  <si>
    <t>(NIB) $13.8M x NIM of 600bps</t>
  </si>
  <si>
    <t>Assumptions per title company</t>
  </si>
  <si>
    <t>Each group of 100 associations generates $20MM ($200K Avg.)</t>
  </si>
  <si>
    <t>Management Co's</t>
  </si>
  <si>
    <t>Associations</t>
  </si>
  <si>
    <t>Volume discount to $60 after 100 associations on Paygami</t>
  </si>
  <si>
    <t>Usage Fee (Lockbox)</t>
  </si>
  <si>
    <t>Lic. Fees (CINC)</t>
  </si>
  <si>
    <t>Lic. Fees (Paygami)</t>
  </si>
  <si>
    <t>Fee Totals</t>
  </si>
  <si>
    <t>Relates to lockbox and integrated online payments</t>
  </si>
  <si>
    <t>Assumed $1,000 per lockbox payment</t>
  </si>
  <si>
    <t>Core10</t>
  </si>
  <si>
    <t>Smiley</t>
  </si>
  <si>
    <t>+ Implementation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</si>
</sst>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&quot;$&quot;* #,##0_);_(&quot;$&quot;* \(#,##0\);_(&quot;$&quot;* &quot;-&quot;?_);_(@_)"/>
    <numFmt numFmtId="166" formatCode="_(* #,##0_);_(* \(#,##0\);_(* &quot;-&quot;??_);_(@_)"/>
  </numFmts>
  <fonts count="5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164" fontId="0" fillId="0" borderId="0" xfId="0" applyNumberFormat="1"/>
    <xf numFmtId="165" fontId="0" fillId="0" borderId="0" xfId="0" applyNumberFormat="1"/>
    <xf numFmtId="0" fontId="1" fillId="0" borderId="0" xfId="0" applyFont="1" applyAlignment="1" applyProtection="1">
      <alignment horizontal="center" vertical="top" wrapText="1"/>
      <protection locked="0"/>
    </xf>
    <xf numFmtId="0" fontId="0" fillId="0" borderId="0" xfId="0" quotePrefix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9" fontId="0" fillId="0" borderId="0" xfId="2" applyFont="1"/>
    <xf numFmtId="166" fontId="0" fillId="0" borderId="0" xfId="1" applyNumberFormat="1" applyFont="1"/>
    <xf numFmtId="166" fontId="0" fillId="0" borderId="0" xfId="0" applyNumberFormat="1"/>
    <xf numFmtId="9" fontId="0" fillId="2" borderId="0" xfId="0" applyNumberFormat="1" applyFill="1"/>
    <xf numFmtId="9" fontId="0" fillId="3" borderId="0" xfId="0" applyNumberFormat="1" applyFill="1"/>
    <xf numFmtId="1" fontId="0" fillId="0" borderId="0" xfId="0" applyNumberFormat="1"/>
    <xf numFmtId="164" fontId="0" fillId="0" borderId="1" xfId="0" applyNumberFormat="1" applyBorder="1"/>
    <xf numFmtId="165" fontId="0" fillId="2" borderId="0" xfId="0" applyNumberFormat="1" applyFill="1"/>
    <xf numFmtId="165" fontId="0" fillId="2" borderId="1" xfId="0" applyNumberFormat="1" applyFill="1" applyBorder="1"/>
    <xf numFmtId="10" fontId="0" fillId="0" borderId="0" xfId="0" applyNumberFormat="1" applyAlignment="1">
      <alignment horizontal="center"/>
    </xf>
    <xf numFmtId="164" fontId="0" fillId="2" borderId="0" xfId="0" applyNumberFormat="1" applyFill="1"/>
    <xf numFmtId="44" fontId="0" fillId="0" borderId="0" xfId="0" applyNumberFormat="1"/>
    <xf numFmtId="0" fontId="1" fillId="0" borderId="0" xfId="0" applyFont="1" applyAlignment="1" applyProtection="1">
      <alignment horizontal="right" vertical="center"/>
      <protection locked="0"/>
    </xf>
    <xf numFmtId="0" fontId="0" fillId="2" borderId="0" xfId="0" applyFill="1" applyAlignment="1">
      <alignment horizontal="right"/>
    </xf>
    <xf numFmtId="0" fontId="0" fillId="2" borderId="0" xfId="0" applyFill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2" fontId="4" fillId="2" borderId="0" xfId="0" applyNumberFormat="1" applyFont="1" applyFill="1" applyAlignment="1">
      <alignment horizontal="center"/>
    </xf>
    <xf numFmtId="0" fontId="3" fillId="0" borderId="0" xfId="0" applyFont="1"/>
    <xf numFmtId="0" fontId="1" fillId="0" borderId="1" xfId="0" quotePrefix="1" applyFont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4" borderId="0" xfId="0" applyFill="1" applyAlignment="1">
      <alignment horizontal="right"/>
    </xf>
    <xf numFmtId="164" fontId="0" fillId="4" borderId="0" xfId="0" applyNumberFormat="1" applyFill="1"/>
    <xf numFmtId="0" fontId="0" fillId="4" borderId="0" xfId="0" applyFill="1"/>
    <xf numFmtId="0" fontId="4" fillId="4" borderId="0" xfId="0" applyFont="1" applyFill="1"/>
    <xf numFmtId="2" fontId="4" fillId="4" borderId="0" xfId="0" applyNumberFormat="1" applyFont="1" applyFill="1"/>
    <xf numFmtId="2" fontId="4" fillId="4" borderId="0" xfId="0" applyNumberFormat="1" applyFont="1" applyFill="1" applyAlignment="1">
      <alignment horizontal="center"/>
    </xf>
    <xf numFmtId="164" fontId="0" fillId="4" borderId="1" xfId="0" applyNumberFormat="1" applyFill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533400</xdr:colOff>
      <xdr:row>10</xdr:row>
      <xdr:rowOff>127000</xdr:rowOff>
    </xdr:from>
    <xdr:to>
      <xdr:col>10</xdr:col>
      <xdr:colOff>863600</xdr:colOff>
      <xdr:row>17</xdr:row>
      <xdr:rowOff>38100</xdr:rowOff>
    </xdr:to>
    <xdr:sp macro="" textlink="">
      <xdr:nvSpPr>
        <xdr:cNvPr id="2" name="Down Arrow 1">
          <a:extLst>
            <a:ext uri="{FF2B5EF4-FFF2-40B4-BE49-F238E27FC236}">
              <a16:creationId xmlns:a16="http://schemas.microsoft.com/office/drawing/2014/main" id="{C45FDF8F-4667-A132-01AC-4A5B84D8CE96}"/>
            </a:ext>
          </a:extLst>
        </xdr:cNvPr>
        <xdr:cNvSpPr/>
      </xdr:nvSpPr>
      <xdr:spPr>
        <a:xfrm>
          <a:off x="17157700" y="1968500"/>
          <a:ext cx="330200" cy="1155700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1041400</xdr:colOff>
      <xdr:row>9</xdr:row>
      <xdr:rowOff>0</xdr:rowOff>
    </xdr:from>
    <xdr:to>
      <xdr:col>12</xdr:col>
      <xdr:colOff>749300</xdr:colOff>
      <xdr:row>14</xdr:row>
      <xdr:rowOff>101600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224A0B3-22ED-D745-425F-1500F132C38E}"/>
            </a:ext>
          </a:extLst>
        </xdr:cNvPr>
        <xdr:cNvSpPr txBox="1"/>
      </xdr:nvSpPr>
      <xdr:spPr>
        <a:xfrm>
          <a:off x="17665700" y="1663700"/>
          <a:ext cx="2057400" cy="990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To be used for budgeting</a:t>
          </a:r>
          <a:r>
            <a:rPr lang="en-US" sz="1100" baseline="0"/>
            <a:t> purposes. Based on fee structure for CINC and estimated for Vantaca. Could also be used for Caliber and other AB vendors.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3C68C-E370-5E48-9FC1-D4268D47EDB3}">
  <dimension ref="B1:O108"/>
  <sheetViews>
    <sheetView tabSelected="1" workbookViewId="0">
      <selection activeCell="N14" sqref="N14"/>
    </sheetView>
  </sheetViews>
  <sheetFormatPr baseColWidth="10" defaultRowHeight="14" x14ac:dyDescent="0.2"/>
  <cols>
    <col min="1" max="2" width="30" customWidth="1"/>
    <col min="3" max="3" width="44.796875" customWidth="1"/>
    <col min="4" max="4" width="22.19921875" customWidth="1"/>
    <col min="5" max="5" width="21" customWidth="1"/>
    <col min="6" max="6" width="24.3984375" customWidth="1"/>
    <col min="7" max="7" width="20.796875" customWidth="1"/>
    <col min="8" max="8" width="22.19921875" customWidth="1"/>
    <col min="9" max="9" width="22" customWidth="1"/>
    <col min="10" max="10" width="24.3984375" customWidth="1"/>
    <col min="11" max="11" width="20.19921875" customWidth="1"/>
    <col min="12" max="12" width="16.796875" customWidth="1"/>
    <col min="13" max="13" width="18.19921875" customWidth="1"/>
    <col min="14" max="14" width="17.3984375" customWidth="1"/>
    <col min="15" max="15" width="35.19921875" customWidth="1"/>
  </cols>
  <sheetData>
    <row r="1" spans="2:10" ht="15" x14ac:dyDescent="0.2">
      <c r="B1" s="8" t="s">
        <v>6</v>
      </c>
      <c r="C1" s="5" t="s">
        <v>2</v>
      </c>
      <c r="D1" s="9" t="s">
        <v>7</v>
      </c>
      <c r="G1" s="1"/>
    </row>
    <row r="2" spans="2:10" ht="15" x14ac:dyDescent="0.2">
      <c r="B2" s="6" t="s">
        <v>15</v>
      </c>
      <c r="C2" s="3">
        <f>300*100</f>
        <v>30000</v>
      </c>
      <c r="D2" s="32" t="s">
        <v>16</v>
      </c>
      <c r="G2" s="24" t="s">
        <v>74</v>
      </c>
      <c r="H2" s="2" t="s">
        <v>70</v>
      </c>
      <c r="I2" s="3">
        <v>300</v>
      </c>
    </row>
    <row r="3" spans="2:10" ht="15" x14ac:dyDescent="0.2">
      <c r="B3" s="7" t="s">
        <v>3</v>
      </c>
      <c r="C3" s="3">
        <f>C2/100</f>
        <v>300</v>
      </c>
      <c r="D3" t="s">
        <v>0</v>
      </c>
      <c r="G3" s="7"/>
      <c r="H3" s="2" t="s">
        <v>71</v>
      </c>
      <c r="I3" s="3">
        <v>75</v>
      </c>
      <c r="J3" t="s">
        <v>72</v>
      </c>
    </row>
    <row r="4" spans="2:10" ht="15" x14ac:dyDescent="0.2">
      <c r="B4" s="7" t="s">
        <v>4</v>
      </c>
      <c r="C4" s="3">
        <f>C3*20000000</f>
        <v>6000000000</v>
      </c>
      <c r="D4" t="s">
        <v>69</v>
      </c>
      <c r="G4" s="24" t="s">
        <v>75</v>
      </c>
      <c r="H4" s="2" t="s">
        <v>71</v>
      </c>
      <c r="I4" s="3">
        <v>35</v>
      </c>
      <c r="J4" t="s">
        <v>77</v>
      </c>
    </row>
    <row r="5" spans="2:10" ht="15" x14ac:dyDescent="0.2">
      <c r="B5" s="7" t="s">
        <v>5</v>
      </c>
      <c r="C5" s="3">
        <f>C4*0.05</f>
        <v>300000000</v>
      </c>
      <c r="D5" t="s">
        <v>1</v>
      </c>
      <c r="G5" s="11" t="s">
        <v>73</v>
      </c>
      <c r="H5" s="2" t="s">
        <v>71</v>
      </c>
      <c r="I5" s="23">
        <v>0.3</v>
      </c>
      <c r="J5" t="s">
        <v>78</v>
      </c>
    </row>
    <row r="6" spans="2:10" x14ac:dyDescent="0.2">
      <c r="B6" s="7" t="s">
        <v>49</v>
      </c>
      <c r="C6" s="3">
        <f>C5*0.97</f>
        <v>291000000</v>
      </c>
      <c r="G6" s="7"/>
    </row>
    <row r="7" spans="2:10" x14ac:dyDescent="0.2">
      <c r="B7" s="7" t="s">
        <v>29</v>
      </c>
      <c r="C7" s="4">
        <f>C6*0.5</f>
        <v>145500000</v>
      </c>
    </row>
    <row r="8" spans="2:10" x14ac:dyDescent="0.2">
      <c r="B8" s="7" t="s">
        <v>28</v>
      </c>
      <c r="C8" s="4">
        <f>C6*0.5</f>
        <v>145500000</v>
      </c>
    </row>
    <row r="10" spans="2:10" x14ac:dyDescent="0.2">
      <c r="B10" s="11" t="s">
        <v>56</v>
      </c>
    </row>
    <row r="12" spans="2:10" x14ac:dyDescent="0.2">
      <c r="B12" s="7" t="s">
        <v>30</v>
      </c>
      <c r="C12" s="4">
        <f>C7*0.01</f>
        <v>1455000</v>
      </c>
      <c r="D12" t="s">
        <v>32</v>
      </c>
    </row>
    <row r="13" spans="2:10" x14ac:dyDescent="0.2">
      <c r="B13" s="7" t="s">
        <v>31</v>
      </c>
      <c r="C13" s="18">
        <f>C8*0.06</f>
        <v>8730000</v>
      </c>
      <c r="D13" t="s">
        <v>33</v>
      </c>
    </row>
    <row r="14" spans="2:10" x14ac:dyDescent="0.2">
      <c r="B14" s="7" t="s">
        <v>34</v>
      </c>
      <c r="C14" s="4">
        <f>SUM(C12:C13)</f>
        <v>10185000</v>
      </c>
    </row>
    <row r="16" spans="2:10" x14ac:dyDescent="0.2">
      <c r="B16" s="7" t="s">
        <v>35</v>
      </c>
      <c r="C16" s="19">
        <f>C12*0.8</f>
        <v>1164000</v>
      </c>
      <c r="D16" t="s">
        <v>37</v>
      </c>
    </row>
    <row r="17" spans="2:15" x14ac:dyDescent="0.2">
      <c r="B17" s="7" t="s">
        <v>36</v>
      </c>
      <c r="C17" s="20">
        <f>C13*0.8</f>
        <v>6984000</v>
      </c>
      <c r="D17" t="s">
        <v>37</v>
      </c>
    </row>
    <row r="18" spans="2:15" x14ac:dyDescent="0.2">
      <c r="B18" s="7" t="s">
        <v>38</v>
      </c>
      <c r="C18" s="4">
        <f>SUM(C16:C17)</f>
        <v>8148000</v>
      </c>
      <c r="N18" s="10" t="s">
        <v>76</v>
      </c>
    </row>
    <row r="19" spans="2:15" x14ac:dyDescent="0.2">
      <c r="E19" s="29" t="s">
        <v>71</v>
      </c>
      <c r="F19" s="28" t="s">
        <v>74</v>
      </c>
      <c r="G19" s="28" t="s">
        <v>75</v>
      </c>
      <c r="H19" s="27" t="s">
        <v>73</v>
      </c>
      <c r="I19" s="29" t="s">
        <v>70</v>
      </c>
      <c r="J19" s="27" t="s">
        <v>74</v>
      </c>
      <c r="K19" s="27" t="s">
        <v>76</v>
      </c>
      <c r="L19" s="27" t="s">
        <v>79</v>
      </c>
      <c r="M19" s="27" t="s">
        <v>80</v>
      </c>
      <c r="N19" s="33" t="s">
        <v>81</v>
      </c>
      <c r="O19" s="10"/>
    </row>
    <row r="20" spans="2:15" x14ac:dyDescent="0.2">
      <c r="B20" s="25" t="s">
        <v>40</v>
      </c>
      <c r="C20" s="22">
        <f>C18*0.1</f>
        <v>814800</v>
      </c>
      <c r="D20" s="26" t="s">
        <v>39</v>
      </c>
      <c r="E20" s="30">
        <f>C21/200000</f>
        <v>145.5</v>
      </c>
      <c r="F20" s="22">
        <f>E20*$I$3</f>
        <v>10912.5</v>
      </c>
      <c r="G20" s="22">
        <f>E20*$I$4</f>
        <v>5092.5</v>
      </c>
      <c r="H20" s="22">
        <f>(C21/1000)*$I$5</f>
        <v>8730</v>
      </c>
      <c r="I20" s="31">
        <f>E20/100</f>
        <v>1.4550000000000001</v>
      </c>
      <c r="J20" s="22">
        <f>I20*$I$2</f>
        <v>436.5</v>
      </c>
      <c r="K20" s="22">
        <f>F20+G20+H20+J20</f>
        <v>25171.5</v>
      </c>
      <c r="L20" s="22">
        <v>20000</v>
      </c>
      <c r="M20" s="22">
        <v>10000</v>
      </c>
      <c r="N20" s="34">
        <f>K20+L20+M20</f>
        <v>55171.5</v>
      </c>
      <c r="O20" s="3"/>
    </row>
    <row r="21" spans="2:15" x14ac:dyDescent="0.2">
      <c r="B21" s="35" t="s">
        <v>48</v>
      </c>
      <c r="C21" s="36">
        <f>C6*0.1</f>
        <v>29100000</v>
      </c>
      <c r="D21" s="37" t="s">
        <v>47</v>
      </c>
      <c r="E21" s="38"/>
      <c r="F21" s="37"/>
      <c r="G21" s="37"/>
      <c r="H21" s="37"/>
      <c r="I21" s="39"/>
      <c r="J21" s="37"/>
      <c r="K21" s="37"/>
      <c r="L21" s="36"/>
      <c r="M21" s="36"/>
      <c r="N21" s="37"/>
    </row>
    <row r="22" spans="2:15" x14ac:dyDescent="0.2">
      <c r="B22" s="25" t="s">
        <v>41</v>
      </c>
      <c r="C22" s="22">
        <f>C18*0.1</f>
        <v>814800</v>
      </c>
      <c r="D22" s="26" t="s">
        <v>39</v>
      </c>
      <c r="E22" s="30">
        <f>C23/200000</f>
        <v>145.5</v>
      </c>
      <c r="F22" s="22">
        <f>E22*$I$3</f>
        <v>10912.5</v>
      </c>
      <c r="G22" s="22">
        <f>E22*$I$4</f>
        <v>5092.5</v>
      </c>
      <c r="H22" s="22">
        <f>(C23/1000)*$I$5</f>
        <v>8730</v>
      </c>
      <c r="I22" s="31">
        <f>E22/100</f>
        <v>1.4550000000000001</v>
      </c>
      <c r="J22" s="22">
        <f>I22*$I$2</f>
        <v>436.5</v>
      </c>
      <c r="K22" s="22">
        <f>F22+G22+H22+J22</f>
        <v>25171.5</v>
      </c>
      <c r="L22" s="22">
        <v>0</v>
      </c>
      <c r="M22" s="22">
        <v>0</v>
      </c>
      <c r="N22" s="34">
        <f>K22+L22+M22</f>
        <v>25171.5</v>
      </c>
      <c r="O22" s="3"/>
    </row>
    <row r="23" spans="2:15" x14ac:dyDescent="0.2">
      <c r="B23" s="35" t="s">
        <v>48</v>
      </c>
      <c r="C23" s="36">
        <f>C6*0.1</f>
        <v>29100000</v>
      </c>
      <c r="D23" s="37" t="s">
        <v>47</v>
      </c>
      <c r="E23" s="38"/>
      <c r="F23" s="37"/>
      <c r="G23" s="37"/>
      <c r="H23" s="37"/>
      <c r="I23" s="40"/>
      <c r="J23" s="37"/>
      <c r="K23" s="37"/>
      <c r="L23" s="36"/>
      <c r="M23" s="36"/>
      <c r="N23" s="37"/>
    </row>
    <row r="24" spans="2:15" x14ac:dyDescent="0.2">
      <c r="B24" s="25" t="s">
        <v>42</v>
      </c>
      <c r="C24" s="22">
        <f>C18*0.2</f>
        <v>1629600</v>
      </c>
      <c r="D24" s="26" t="s">
        <v>39</v>
      </c>
      <c r="E24" s="30">
        <f>C25/200000</f>
        <v>291</v>
      </c>
      <c r="F24" s="22">
        <f>E24*$I$3</f>
        <v>21825</v>
      </c>
      <c r="G24" s="22">
        <f>E24*$I$4</f>
        <v>10185</v>
      </c>
      <c r="H24" s="22">
        <f>(C25/1000)*$I$5</f>
        <v>17460</v>
      </c>
      <c r="I24" s="31">
        <f>E24/100</f>
        <v>2.91</v>
      </c>
      <c r="J24" s="22">
        <f>I24*$I$2</f>
        <v>873</v>
      </c>
      <c r="K24" s="22">
        <f>F24+G24+H24+J24</f>
        <v>50343</v>
      </c>
      <c r="L24" s="22">
        <v>0</v>
      </c>
      <c r="M24" s="22">
        <v>0</v>
      </c>
      <c r="N24" s="34">
        <f>K24+L24+M24</f>
        <v>50343</v>
      </c>
      <c r="O24" s="3"/>
    </row>
    <row r="25" spans="2:15" x14ac:dyDescent="0.2">
      <c r="B25" s="35" t="s">
        <v>48</v>
      </c>
      <c r="C25" s="36">
        <f>C6*0.2</f>
        <v>58200000</v>
      </c>
      <c r="D25" s="37" t="s">
        <v>47</v>
      </c>
      <c r="E25" s="38"/>
      <c r="F25" s="37"/>
      <c r="G25" s="37"/>
      <c r="H25" s="37"/>
      <c r="I25" s="40"/>
      <c r="J25" s="37"/>
      <c r="K25" s="37"/>
      <c r="L25" s="36"/>
      <c r="M25" s="36"/>
      <c r="N25" s="37"/>
    </row>
    <row r="26" spans="2:15" x14ac:dyDescent="0.2">
      <c r="B26" s="25" t="s">
        <v>43</v>
      </c>
      <c r="C26" s="22">
        <f>C18*0.2</f>
        <v>1629600</v>
      </c>
      <c r="D26" s="26" t="s">
        <v>39</v>
      </c>
      <c r="E26" s="30">
        <f>C27/200000</f>
        <v>291</v>
      </c>
      <c r="F26" s="22">
        <f>E26*$I$3</f>
        <v>21825</v>
      </c>
      <c r="G26" s="22">
        <f>E26*$I$4</f>
        <v>10185</v>
      </c>
      <c r="H26" s="22">
        <f>(C27/1000)*$I$5</f>
        <v>17460</v>
      </c>
      <c r="I26" s="31">
        <f>E26/100</f>
        <v>2.91</v>
      </c>
      <c r="J26" s="22">
        <f>I26*$I$2</f>
        <v>873</v>
      </c>
      <c r="K26" s="22">
        <f>F26+G26+H26+J26</f>
        <v>50343</v>
      </c>
      <c r="L26" s="22">
        <v>0</v>
      </c>
      <c r="M26" s="22">
        <v>0</v>
      </c>
      <c r="N26" s="34">
        <f>K26+L26+M26</f>
        <v>50343</v>
      </c>
      <c r="O26" s="3"/>
    </row>
    <row r="27" spans="2:15" x14ac:dyDescent="0.2">
      <c r="B27" s="35" t="s">
        <v>50</v>
      </c>
      <c r="C27" s="36">
        <f>C6*0.2</f>
        <v>58200000</v>
      </c>
      <c r="D27" s="37" t="s">
        <v>47</v>
      </c>
      <c r="E27" s="38"/>
      <c r="F27" s="37"/>
      <c r="G27" s="37"/>
      <c r="H27" s="37"/>
      <c r="I27" s="40"/>
      <c r="J27" s="37"/>
      <c r="K27" s="37"/>
      <c r="L27" s="36"/>
      <c r="M27" s="36"/>
      <c r="N27" s="37"/>
    </row>
    <row r="28" spans="2:15" x14ac:dyDescent="0.2">
      <c r="B28" s="25" t="s">
        <v>46</v>
      </c>
      <c r="C28" s="22">
        <f>C18*0.4</f>
        <v>3259200</v>
      </c>
      <c r="D28" s="26" t="s">
        <v>39</v>
      </c>
      <c r="E28" s="30">
        <f>C29/200000</f>
        <v>582</v>
      </c>
      <c r="F28" s="22">
        <f>E28*$I$3</f>
        <v>43650</v>
      </c>
      <c r="G28" s="22">
        <f>E28*$I$4</f>
        <v>20370</v>
      </c>
      <c r="H28" s="22">
        <f>(C29/1000)*$I$5</f>
        <v>34920</v>
      </c>
      <c r="I28" s="31">
        <f>E28/100</f>
        <v>5.82</v>
      </c>
      <c r="J28" s="22">
        <f>I28*$I$2</f>
        <v>1746</v>
      </c>
      <c r="K28" s="22">
        <f>F28+G28+H28+J28</f>
        <v>100686</v>
      </c>
      <c r="L28" s="22">
        <v>0</v>
      </c>
      <c r="M28" s="22">
        <v>0</v>
      </c>
      <c r="N28" s="34">
        <f>K28+L28+M28</f>
        <v>100686</v>
      </c>
      <c r="O28" s="3"/>
    </row>
    <row r="29" spans="2:15" x14ac:dyDescent="0.2">
      <c r="B29" s="35" t="s">
        <v>50</v>
      </c>
      <c r="C29" s="41">
        <f>C6*0.4</f>
        <v>116400000</v>
      </c>
      <c r="D29" s="37" t="s">
        <v>47</v>
      </c>
      <c r="E29" s="38"/>
      <c r="F29" s="37"/>
      <c r="G29" s="37"/>
      <c r="H29" s="37"/>
      <c r="I29" s="39"/>
      <c r="J29" s="37"/>
      <c r="K29" s="37"/>
      <c r="L29" s="36"/>
      <c r="M29" s="36"/>
      <c r="N29" s="37"/>
    </row>
    <row r="30" spans="2:15" x14ac:dyDescent="0.2">
      <c r="B30" s="7" t="s">
        <v>44</v>
      </c>
      <c r="C30" s="3">
        <f>C20+C22+C24+C26+C28</f>
        <v>8148000</v>
      </c>
    </row>
    <row r="31" spans="2:15" x14ac:dyDescent="0.2">
      <c r="B31" s="7" t="s">
        <v>45</v>
      </c>
      <c r="C31" s="3">
        <f>C21+C23+C25+C27+C29</f>
        <v>291000000</v>
      </c>
    </row>
    <row r="33" spans="2:13" x14ac:dyDescent="0.2">
      <c r="B33" s="11" t="s">
        <v>57</v>
      </c>
      <c r="I33" s="11" t="s">
        <v>27</v>
      </c>
      <c r="J33" s="10" t="s">
        <v>21</v>
      </c>
      <c r="K33" s="10" t="s">
        <v>22</v>
      </c>
      <c r="L33" s="10" t="s">
        <v>8</v>
      </c>
    </row>
    <row r="34" spans="2:13" x14ac:dyDescent="0.2">
      <c r="I34" s="7" t="s">
        <v>14</v>
      </c>
      <c r="J34">
        <v>40</v>
      </c>
      <c r="K34">
        <f>J34*4</f>
        <v>160</v>
      </c>
      <c r="L34">
        <f>K34*6</f>
        <v>960</v>
      </c>
    </row>
    <row r="35" spans="2:13" x14ac:dyDescent="0.2">
      <c r="B35" s="7" t="s">
        <v>40</v>
      </c>
      <c r="C35" s="22">
        <f>(C36*E36)+(C37*E37)</f>
        <v>1018500</v>
      </c>
      <c r="D35" t="s">
        <v>39</v>
      </c>
      <c r="E35" s="10" t="s">
        <v>55</v>
      </c>
      <c r="I35" s="7" t="s">
        <v>25</v>
      </c>
      <c r="J35" s="15">
        <v>0.1</v>
      </c>
      <c r="K35" s="15">
        <v>0.1</v>
      </c>
      <c r="L35" s="15">
        <v>0.1</v>
      </c>
    </row>
    <row r="36" spans="2:13" x14ac:dyDescent="0.2">
      <c r="B36" s="7" t="s">
        <v>48</v>
      </c>
      <c r="C36" s="3">
        <f>C7*0.1</f>
        <v>14550000</v>
      </c>
      <c r="D36" t="s">
        <v>51</v>
      </c>
      <c r="E36" s="21">
        <v>0.01</v>
      </c>
      <c r="I36" s="7" t="s">
        <v>20</v>
      </c>
      <c r="J36" s="16">
        <v>0.2</v>
      </c>
      <c r="K36" s="16">
        <v>0.2</v>
      </c>
      <c r="L36" s="16">
        <v>0.2</v>
      </c>
    </row>
    <row r="37" spans="2:13" x14ac:dyDescent="0.2">
      <c r="C37" s="3">
        <f>C8*0.1</f>
        <v>14550000</v>
      </c>
      <c r="D37" t="s">
        <v>52</v>
      </c>
      <c r="E37" s="21">
        <v>0.06</v>
      </c>
      <c r="F37" t="s">
        <v>58</v>
      </c>
      <c r="I37" s="7" t="s">
        <v>26</v>
      </c>
      <c r="J37">
        <f>J34*J35</f>
        <v>4</v>
      </c>
      <c r="K37">
        <f>K34*K35</f>
        <v>16</v>
      </c>
      <c r="L37">
        <f>L34*L35</f>
        <v>96</v>
      </c>
    </row>
    <row r="38" spans="2:13" x14ac:dyDescent="0.2">
      <c r="B38" s="7" t="s">
        <v>41</v>
      </c>
      <c r="C38" s="22">
        <f>(C39*E39)+(C40*E40)</f>
        <v>1018500</v>
      </c>
      <c r="D38" t="s">
        <v>39</v>
      </c>
      <c r="E38" s="21"/>
      <c r="I38" s="7" t="s">
        <v>19</v>
      </c>
      <c r="J38">
        <f>J34*J36</f>
        <v>8</v>
      </c>
      <c r="K38">
        <f>K34*K36</f>
        <v>32</v>
      </c>
      <c r="L38">
        <f>L34*L36</f>
        <v>192</v>
      </c>
    </row>
    <row r="39" spans="2:13" x14ac:dyDescent="0.2">
      <c r="B39" s="7" t="s">
        <v>48</v>
      </c>
      <c r="C39" s="3">
        <f>C7*0.1</f>
        <v>14550000</v>
      </c>
      <c r="D39" t="s">
        <v>51</v>
      </c>
      <c r="E39" s="21">
        <v>0.01</v>
      </c>
      <c r="I39" s="7" t="s">
        <v>24</v>
      </c>
      <c r="J39" s="15">
        <v>0.1</v>
      </c>
      <c r="K39" s="15">
        <v>0.1</v>
      </c>
      <c r="L39" s="15">
        <v>0.1</v>
      </c>
    </row>
    <row r="40" spans="2:13" x14ac:dyDescent="0.2">
      <c r="C40" s="3">
        <f>C8*0.1</f>
        <v>14550000</v>
      </c>
      <c r="D40" t="s">
        <v>52</v>
      </c>
      <c r="E40" s="21">
        <v>0.06</v>
      </c>
      <c r="F40" t="s">
        <v>58</v>
      </c>
      <c r="I40" s="7" t="s">
        <v>23</v>
      </c>
      <c r="J40" s="17">
        <f>J38*J39</f>
        <v>0.8</v>
      </c>
      <c r="K40" s="17">
        <f>K38*K39</f>
        <v>3.2</v>
      </c>
      <c r="L40" s="17">
        <f>L38*L39</f>
        <v>19.200000000000003</v>
      </c>
    </row>
    <row r="41" spans="2:13" x14ac:dyDescent="0.2">
      <c r="B41" s="7" t="s">
        <v>42</v>
      </c>
      <c r="C41" s="22">
        <f>(C42*E42)+(C43*E43)</f>
        <v>1818750</v>
      </c>
      <c r="D41" t="s">
        <v>39</v>
      </c>
      <c r="E41" s="21"/>
    </row>
    <row r="42" spans="2:13" x14ac:dyDescent="0.2">
      <c r="B42" s="7" t="s">
        <v>48</v>
      </c>
      <c r="C42" s="3">
        <f>C7*0.2</f>
        <v>29100000</v>
      </c>
      <c r="D42" t="s">
        <v>51</v>
      </c>
      <c r="E42" s="21">
        <v>1.2500000000000001E-2</v>
      </c>
    </row>
    <row r="43" spans="2:13" x14ac:dyDescent="0.2">
      <c r="C43" s="3">
        <f>C8*0.2</f>
        <v>29100000</v>
      </c>
      <c r="D43" t="s">
        <v>52</v>
      </c>
      <c r="E43" s="21">
        <v>0.05</v>
      </c>
      <c r="F43" t="s">
        <v>59</v>
      </c>
      <c r="I43" s="11" t="s">
        <v>9</v>
      </c>
      <c r="J43" s="10" t="s">
        <v>21</v>
      </c>
      <c r="K43" s="10" t="s">
        <v>22</v>
      </c>
      <c r="L43" s="10" t="s">
        <v>10</v>
      </c>
      <c r="M43" s="10" t="s">
        <v>13</v>
      </c>
    </row>
    <row r="44" spans="2:13" x14ac:dyDescent="0.2">
      <c r="B44" s="7" t="s">
        <v>43</v>
      </c>
      <c r="C44" s="22">
        <f>(C45*E45)+(C46*E46)</f>
        <v>1455000</v>
      </c>
      <c r="D44" t="s">
        <v>39</v>
      </c>
      <c r="E44" s="21"/>
      <c r="I44" s="7" t="s">
        <v>17</v>
      </c>
      <c r="J44" s="13">
        <v>40</v>
      </c>
      <c r="K44" s="13">
        <f>J44*4</f>
        <v>160</v>
      </c>
      <c r="L44" s="13">
        <f>K44*12</f>
        <v>1920</v>
      </c>
      <c r="M44" s="12">
        <v>1</v>
      </c>
    </row>
    <row r="45" spans="2:13" x14ac:dyDescent="0.2">
      <c r="B45" s="7" t="s">
        <v>50</v>
      </c>
      <c r="C45" s="3">
        <f>C7*0.2</f>
        <v>29100000</v>
      </c>
      <c r="D45" t="s">
        <v>51</v>
      </c>
      <c r="E45" s="21">
        <v>1.4999999999999999E-2</v>
      </c>
      <c r="I45" s="7" t="s">
        <v>18</v>
      </c>
      <c r="J45" s="13">
        <v>40</v>
      </c>
      <c r="K45" s="13">
        <f t="shared" ref="K45:K46" si="0">J45*4</f>
        <v>160</v>
      </c>
      <c r="L45" s="13">
        <f t="shared" ref="L45:L46" si="1">K45*12</f>
        <v>1920</v>
      </c>
      <c r="M45" s="12">
        <v>1</v>
      </c>
    </row>
    <row r="46" spans="2:13" x14ac:dyDescent="0.2">
      <c r="C46" s="3">
        <f>C8*0.2</f>
        <v>29100000</v>
      </c>
      <c r="D46" t="s">
        <v>52</v>
      </c>
      <c r="E46" s="21">
        <v>3.5000000000000003E-2</v>
      </c>
      <c r="F46" t="s">
        <v>60</v>
      </c>
      <c r="I46" s="7" t="s">
        <v>18</v>
      </c>
      <c r="J46" s="13">
        <v>40</v>
      </c>
      <c r="K46" s="13">
        <f t="shared" si="0"/>
        <v>160</v>
      </c>
      <c r="L46" s="13">
        <f t="shared" si="1"/>
        <v>1920</v>
      </c>
      <c r="M46" s="12">
        <v>1</v>
      </c>
    </row>
    <row r="47" spans="2:13" x14ac:dyDescent="0.2">
      <c r="B47" s="7" t="s">
        <v>46</v>
      </c>
      <c r="C47" s="22">
        <f>(C48*E48)+(C49*E49)</f>
        <v>2619000</v>
      </c>
      <c r="D47" t="s">
        <v>39</v>
      </c>
      <c r="E47" s="21"/>
    </row>
    <row r="48" spans="2:13" x14ac:dyDescent="0.2">
      <c r="B48" s="7" t="s">
        <v>50</v>
      </c>
      <c r="C48" s="3">
        <f>C7*0.4</f>
        <v>58200000</v>
      </c>
      <c r="D48" t="s">
        <v>51</v>
      </c>
      <c r="E48" s="21">
        <v>0.02</v>
      </c>
      <c r="I48" s="11" t="s">
        <v>11</v>
      </c>
      <c r="J48" s="10" t="s">
        <v>21</v>
      </c>
      <c r="K48" s="10" t="s">
        <v>22</v>
      </c>
      <c r="L48" s="10" t="s">
        <v>10</v>
      </c>
      <c r="M48" s="10" t="s">
        <v>12</v>
      </c>
    </row>
    <row r="49" spans="2:13" x14ac:dyDescent="0.2">
      <c r="C49" s="18">
        <f>C8*0.4</f>
        <v>58200000</v>
      </c>
      <c r="D49" t="s">
        <v>52</v>
      </c>
      <c r="E49" s="21">
        <v>2.5000000000000001E-2</v>
      </c>
      <c r="F49" t="s">
        <v>61</v>
      </c>
      <c r="I49" s="7" t="s">
        <v>17</v>
      </c>
      <c r="J49" s="14">
        <f>J44-$J$37</f>
        <v>36</v>
      </c>
      <c r="K49" s="14">
        <f>K44-$K$37</f>
        <v>144</v>
      </c>
      <c r="L49" s="14">
        <f>L44-$L$37</f>
        <v>1824</v>
      </c>
      <c r="M49" s="12">
        <f>L49/L44</f>
        <v>0.95</v>
      </c>
    </row>
    <row r="50" spans="2:13" x14ac:dyDescent="0.2">
      <c r="I50" s="7" t="s">
        <v>18</v>
      </c>
      <c r="J50" s="14">
        <f>J45-$J$38</f>
        <v>32</v>
      </c>
      <c r="K50" s="14">
        <f>K45-$K$38</f>
        <v>128</v>
      </c>
      <c r="L50" s="14">
        <f>L45-$L$38</f>
        <v>1728</v>
      </c>
      <c r="M50" s="12">
        <f>L50/L45</f>
        <v>0.9</v>
      </c>
    </row>
    <row r="51" spans="2:13" x14ac:dyDescent="0.2">
      <c r="B51" s="7" t="s">
        <v>44</v>
      </c>
      <c r="C51" s="22">
        <f>C35+C38+C41+C44+C47</f>
        <v>7929750</v>
      </c>
      <c r="I51" s="7" t="s">
        <v>18</v>
      </c>
      <c r="J51" s="14">
        <f>J46</f>
        <v>40</v>
      </c>
      <c r="K51" s="14">
        <f>K46</f>
        <v>160</v>
      </c>
      <c r="L51" s="14">
        <f>L46</f>
        <v>1920</v>
      </c>
      <c r="M51" s="12">
        <f>L51/L46</f>
        <v>1</v>
      </c>
    </row>
    <row r="52" spans="2:13" x14ac:dyDescent="0.2">
      <c r="B52" s="7" t="s">
        <v>53</v>
      </c>
      <c r="C52" s="3">
        <f>C36+C39+C42+C45+C48</f>
        <v>145500000</v>
      </c>
    </row>
    <row r="53" spans="2:13" x14ac:dyDescent="0.2">
      <c r="B53" s="7" t="s">
        <v>54</v>
      </c>
      <c r="C53" s="3">
        <f>C37+C40+C43+C46+C49</f>
        <v>145500000</v>
      </c>
    </row>
    <row r="59" spans="2:13" ht="15" x14ac:dyDescent="0.2">
      <c r="B59" s="8" t="s">
        <v>6</v>
      </c>
      <c r="C59" s="5" t="s">
        <v>62</v>
      </c>
      <c r="D59" s="9" t="s">
        <v>7</v>
      </c>
    </row>
    <row r="60" spans="2:13" x14ac:dyDescent="0.2">
      <c r="B60" s="7" t="s">
        <v>65</v>
      </c>
      <c r="C60" s="3">
        <v>15000000</v>
      </c>
      <c r="D60" t="s">
        <v>68</v>
      </c>
    </row>
    <row r="61" spans="2:13" x14ac:dyDescent="0.2">
      <c r="B61" s="7" t="s">
        <v>49</v>
      </c>
      <c r="C61" s="3">
        <f>C60*0.97</f>
        <v>14550000</v>
      </c>
    </row>
    <row r="62" spans="2:13" x14ac:dyDescent="0.2">
      <c r="B62" s="7" t="s">
        <v>63</v>
      </c>
      <c r="C62" s="4">
        <f>C61*0.05</f>
        <v>727500</v>
      </c>
    </row>
    <row r="63" spans="2:13" x14ac:dyDescent="0.2">
      <c r="B63" s="7" t="s">
        <v>64</v>
      </c>
      <c r="C63" s="4">
        <f>C61*0.95</f>
        <v>13822500</v>
      </c>
    </row>
    <row r="65" spans="2:4" x14ac:dyDescent="0.2">
      <c r="B65" s="11" t="s">
        <v>56</v>
      </c>
    </row>
    <row r="67" spans="2:4" x14ac:dyDescent="0.2">
      <c r="B67" s="7" t="s">
        <v>66</v>
      </c>
      <c r="C67" s="4">
        <f>C62*0.01</f>
        <v>7275</v>
      </c>
      <c r="D67" t="s">
        <v>32</v>
      </c>
    </row>
    <row r="68" spans="2:4" x14ac:dyDescent="0.2">
      <c r="B68" s="7" t="s">
        <v>67</v>
      </c>
      <c r="C68" s="18">
        <f>C63*0.06</f>
        <v>829350</v>
      </c>
      <c r="D68" t="s">
        <v>33</v>
      </c>
    </row>
    <row r="69" spans="2:4" x14ac:dyDescent="0.2">
      <c r="B69" s="7" t="s">
        <v>34</v>
      </c>
      <c r="C69" s="4">
        <f>SUM(C67:C68)</f>
        <v>836625</v>
      </c>
    </row>
    <row r="71" spans="2:4" x14ac:dyDescent="0.2">
      <c r="B71" s="7" t="s">
        <v>35</v>
      </c>
      <c r="C71" s="19">
        <f>C67*0.8</f>
        <v>5820</v>
      </c>
      <c r="D71" t="s">
        <v>37</v>
      </c>
    </row>
    <row r="72" spans="2:4" x14ac:dyDescent="0.2">
      <c r="B72" s="7" t="s">
        <v>36</v>
      </c>
      <c r="C72" s="20">
        <f>C68*0.8</f>
        <v>663480</v>
      </c>
      <c r="D72" t="s">
        <v>37</v>
      </c>
    </row>
    <row r="73" spans="2:4" x14ac:dyDescent="0.2">
      <c r="B73" s="7" t="s">
        <v>38</v>
      </c>
      <c r="C73" s="4">
        <f>SUM(C71:C72)</f>
        <v>669300</v>
      </c>
    </row>
    <row r="75" spans="2:4" x14ac:dyDescent="0.2">
      <c r="B75" s="7" t="s">
        <v>40</v>
      </c>
      <c r="C75" s="3">
        <f>C73*0.1</f>
        <v>66930</v>
      </c>
      <c r="D75" t="s">
        <v>39</v>
      </c>
    </row>
    <row r="76" spans="2:4" x14ac:dyDescent="0.2">
      <c r="B76" s="7" t="s">
        <v>48</v>
      </c>
      <c r="C76" s="3">
        <f>C61*0.1</f>
        <v>1455000</v>
      </c>
      <c r="D76" t="s">
        <v>47</v>
      </c>
    </row>
    <row r="77" spans="2:4" x14ac:dyDescent="0.2">
      <c r="B77" s="7" t="s">
        <v>41</v>
      </c>
      <c r="C77" s="3">
        <f>C73*0.1</f>
        <v>66930</v>
      </c>
      <c r="D77" t="s">
        <v>39</v>
      </c>
    </row>
    <row r="78" spans="2:4" x14ac:dyDescent="0.2">
      <c r="B78" s="7" t="s">
        <v>48</v>
      </c>
      <c r="C78" s="3">
        <f>C61*0.1</f>
        <v>1455000</v>
      </c>
      <c r="D78" t="s">
        <v>47</v>
      </c>
    </row>
    <row r="79" spans="2:4" x14ac:dyDescent="0.2">
      <c r="B79" s="7" t="s">
        <v>42</v>
      </c>
      <c r="C79" s="3">
        <f>C73*0.2</f>
        <v>133860</v>
      </c>
      <c r="D79" t="s">
        <v>39</v>
      </c>
    </row>
    <row r="80" spans="2:4" x14ac:dyDescent="0.2">
      <c r="B80" s="7" t="s">
        <v>48</v>
      </c>
      <c r="C80" s="3">
        <f>C61*0.2</f>
        <v>2910000</v>
      </c>
      <c r="D80" t="s">
        <v>47</v>
      </c>
    </row>
    <row r="81" spans="2:6" x14ac:dyDescent="0.2">
      <c r="B81" s="7" t="s">
        <v>43</v>
      </c>
      <c r="C81" s="3">
        <f>C73*0.2</f>
        <v>133860</v>
      </c>
      <c r="D81" t="s">
        <v>39</v>
      </c>
    </row>
    <row r="82" spans="2:6" x14ac:dyDescent="0.2">
      <c r="B82" s="7" t="s">
        <v>50</v>
      </c>
      <c r="C82" s="3">
        <f>C61*0.2</f>
        <v>2910000</v>
      </c>
      <c r="D82" t="s">
        <v>47</v>
      </c>
    </row>
    <row r="83" spans="2:6" x14ac:dyDescent="0.2">
      <c r="B83" s="7" t="s">
        <v>46</v>
      </c>
      <c r="C83" s="3">
        <f>C73*0.4</f>
        <v>267720</v>
      </c>
      <c r="D83" t="s">
        <v>39</v>
      </c>
    </row>
    <row r="84" spans="2:6" x14ac:dyDescent="0.2">
      <c r="B84" s="7" t="s">
        <v>50</v>
      </c>
      <c r="C84" s="18">
        <f>C61*0.4</f>
        <v>5820000</v>
      </c>
      <c r="D84" t="s">
        <v>47</v>
      </c>
    </row>
    <row r="85" spans="2:6" x14ac:dyDescent="0.2">
      <c r="B85" s="7" t="s">
        <v>44</v>
      </c>
      <c r="C85" s="3">
        <f>C75+C77+C79+C81+C83</f>
        <v>669300</v>
      </c>
    </row>
    <row r="86" spans="2:6" x14ac:dyDescent="0.2">
      <c r="B86" s="7" t="s">
        <v>45</v>
      </c>
      <c r="C86" s="3">
        <f>C76+C78+C80+C82+C84</f>
        <v>14550000</v>
      </c>
    </row>
    <row r="88" spans="2:6" x14ac:dyDescent="0.2">
      <c r="B88" s="11" t="s">
        <v>57</v>
      </c>
    </row>
    <row r="90" spans="2:6" x14ac:dyDescent="0.2">
      <c r="B90" s="7" t="s">
        <v>40</v>
      </c>
      <c r="C90" s="22">
        <f>(C91*E91)+(C92*E92)</f>
        <v>83662.5</v>
      </c>
      <c r="D90" t="s">
        <v>39</v>
      </c>
      <c r="E90" s="10" t="s">
        <v>55</v>
      </c>
    </row>
    <row r="91" spans="2:6" x14ac:dyDescent="0.2">
      <c r="B91" s="7" t="s">
        <v>48</v>
      </c>
      <c r="C91" s="3">
        <f>C62*0.1</f>
        <v>72750</v>
      </c>
      <c r="D91" t="s">
        <v>51</v>
      </c>
      <c r="E91" s="21">
        <v>0.01</v>
      </c>
    </row>
    <row r="92" spans="2:6" x14ac:dyDescent="0.2">
      <c r="C92" s="3">
        <f>C63*0.1</f>
        <v>1382250</v>
      </c>
      <c r="D92" t="s">
        <v>52</v>
      </c>
      <c r="E92" s="21">
        <v>0.06</v>
      </c>
      <c r="F92" t="s">
        <v>58</v>
      </c>
    </row>
    <row r="93" spans="2:6" x14ac:dyDescent="0.2">
      <c r="B93" s="7" t="s">
        <v>41</v>
      </c>
      <c r="C93" s="22">
        <f>(C94*E94)+(C95*E95)</f>
        <v>83662.5</v>
      </c>
      <c r="D93" t="s">
        <v>39</v>
      </c>
      <c r="E93" s="21"/>
    </row>
    <row r="94" spans="2:6" x14ac:dyDescent="0.2">
      <c r="B94" s="7" t="s">
        <v>48</v>
      </c>
      <c r="C94" s="3">
        <f>C62*0.1</f>
        <v>72750</v>
      </c>
      <c r="D94" t="s">
        <v>51</v>
      </c>
      <c r="E94" s="21">
        <v>0.01</v>
      </c>
    </row>
    <row r="95" spans="2:6" x14ac:dyDescent="0.2">
      <c r="C95" s="3">
        <f>C63*0.1</f>
        <v>1382250</v>
      </c>
      <c r="D95" t="s">
        <v>52</v>
      </c>
      <c r="E95" s="21">
        <v>0.06</v>
      </c>
      <c r="F95" t="s">
        <v>58</v>
      </c>
    </row>
    <row r="96" spans="2:6" x14ac:dyDescent="0.2">
      <c r="B96" s="7" t="s">
        <v>42</v>
      </c>
      <c r="C96" s="22">
        <f>(C97*E97)+(C98*E98)</f>
        <v>140043.75</v>
      </c>
      <c r="D96" t="s">
        <v>39</v>
      </c>
      <c r="E96" s="21"/>
    </row>
    <row r="97" spans="2:6" x14ac:dyDescent="0.2">
      <c r="B97" s="7" t="s">
        <v>48</v>
      </c>
      <c r="C97" s="3">
        <f>C62*0.2</f>
        <v>145500</v>
      </c>
      <c r="D97" t="s">
        <v>51</v>
      </c>
      <c r="E97" s="21">
        <v>1.2500000000000001E-2</v>
      </c>
    </row>
    <row r="98" spans="2:6" x14ac:dyDescent="0.2">
      <c r="C98" s="3">
        <f>C63*0.2</f>
        <v>2764500</v>
      </c>
      <c r="D98" t="s">
        <v>52</v>
      </c>
      <c r="E98" s="21">
        <v>0.05</v>
      </c>
      <c r="F98" t="s">
        <v>59</v>
      </c>
    </row>
    <row r="99" spans="2:6" x14ac:dyDescent="0.2">
      <c r="B99" s="7" t="s">
        <v>43</v>
      </c>
      <c r="C99" s="22">
        <f>(C100*E100)+(C101*E101)</f>
        <v>98940.000000000015</v>
      </c>
      <c r="D99" t="s">
        <v>39</v>
      </c>
      <c r="E99" s="21"/>
    </row>
    <row r="100" spans="2:6" x14ac:dyDescent="0.2">
      <c r="B100" s="7" t="s">
        <v>50</v>
      </c>
      <c r="C100" s="3">
        <f>C62*0.2</f>
        <v>145500</v>
      </c>
      <c r="D100" t="s">
        <v>51</v>
      </c>
      <c r="E100" s="21">
        <v>1.4999999999999999E-2</v>
      </c>
    </row>
    <row r="101" spans="2:6" x14ac:dyDescent="0.2">
      <c r="C101" s="3">
        <f>C63*0.2</f>
        <v>2764500</v>
      </c>
      <c r="D101" t="s">
        <v>52</v>
      </c>
      <c r="E101" s="21">
        <v>3.5000000000000003E-2</v>
      </c>
      <c r="F101" t="s">
        <v>60</v>
      </c>
    </row>
    <row r="102" spans="2:6" x14ac:dyDescent="0.2">
      <c r="B102" s="7" t="s">
        <v>46</v>
      </c>
      <c r="C102" s="22">
        <f>(C103*E103)+(C104*E104)</f>
        <v>144045</v>
      </c>
      <c r="D102" t="s">
        <v>39</v>
      </c>
      <c r="E102" s="21"/>
    </row>
    <row r="103" spans="2:6" x14ac:dyDescent="0.2">
      <c r="B103" s="7" t="s">
        <v>50</v>
      </c>
      <c r="C103" s="3">
        <f>C62*0.4</f>
        <v>291000</v>
      </c>
      <c r="D103" t="s">
        <v>51</v>
      </c>
      <c r="E103" s="21">
        <v>0.02</v>
      </c>
    </row>
    <row r="104" spans="2:6" x14ac:dyDescent="0.2">
      <c r="C104" s="18">
        <f>C63*0.4</f>
        <v>5529000</v>
      </c>
      <c r="D104" t="s">
        <v>52</v>
      </c>
      <c r="E104" s="21">
        <v>2.5000000000000001E-2</v>
      </c>
      <c r="F104" t="s">
        <v>61</v>
      </c>
    </row>
    <row r="106" spans="2:6" x14ac:dyDescent="0.2">
      <c r="B106" s="7" t="s">
        <v>44</v>
      </c>
      <c r="C106" s="22">
        <f>C90+C93+C96+C99+C102</f>
        <v>550353.75</v>
      </c>
    </row>
    <row r="107" spans="2:6" x14ac:dyDescent="0.2">
      <c r="B107" s="7" t="s">
        <v>53</v>
      </c>
      <c r="C107" s="3">
        <f>C91+C94+C97+C100+C103</f>
        <v>727500</v>
      </c>
    </row>
    <row r="108" spans="2:6" x14ac:dyDescent="0.2">
      <c r="B108" s="7" t="s">
        <v>54</v>
      </c>
      <c r="C108" s="3">
        <f>C92+C95+C98+C101+C104</f>
        <v>13822500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Allan Rayson</dc:creator>
  <cp:lastModifiedBy>Allan Rayson</cp:lastModifiedBy>
  <dcterms:created xsi:type="dcterms:W3CDTF">2023-08-23T18:45:35Z</dcterms:created>
  <dcterms:modified xsi:type="dcterms:W3CDTF">2023-10-06T19:09:37Z</dcterms:modified>
</cp:coreProperties>
</file>